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d-my.sharepoint.com/personal/maarten_endeman_sdworx_com/Documents/IJhorst Energie/"/>
    </mc:Choice>
  </mc:AlternateContent>
  <xr:revisionPtr revIDLastSave="0" documentId="8_{D8AECDC7-FE7A-497B-B79D-54C6F6F40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husbatteri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C10" i="1"/>
  <c r="C5" i="1"/>
  <c r="I16" i="1"/>
  <c r="J16" i="1"/>
  <c r="L16" i="1" s="1"/>
  <c r="J14" i="1"/>
  <c r="J15" i="1" s="1"/>
  <c r="L15" i="1" s="1"/>
  <c r="J17" i="1" l="1"/>
  <c r="L17" i="1" s="1"/>
  <c r="J18" i="1"/>
  <c r="J22" i="1" s="1"/>
  <c r="J9" i="1"/>
  <c r="J10" i="1" s="1"/>
  <c r="J21" i="1" s="1"/>
  <c r="D5" i="1"/>
  <c r="F2" i="1"/>
  <c r="I9" i="1"/>
  <c r="D10" i="1"/>
  <c r="J20" i="1" l="1"/>
  <c r="J23" i="1" s="1"/>
  <c r="C12" i="1"/>
  <c r="C20" i="1"/>
  <c r="D20" i="1"/>
  <c r="D22" i="1" s="1"/>
  <c r="I21" i="1"/>
  <c r="D12" i="1"/>
  <c r="C11" i="1"/>
  <c r="D11" i="1"/>
  <c r="I15" i="1"/>
  <c r="I14" i="1"/>
  <c r="I18" i="1"/>
  <c r="D21" i="1" l="1"/>
  <c r="D23" i="1" s="1"/>
  <c r="J25" i="1" s="1"/>
  <c r="D13" i="1"/>
  <c r="D14" i="1" s="1"/>
  <c r="C13" i="1"/>
  <c r="C22" i="1"/>
  <c r="C21" i="1"/>
  <c r="I17" i="1"/>
  <c r="I20" i="1" l="1"/>
  <c r="I22" i="1"/>
</calcChain>
</file>

<file path=xl/sharedStrings.xml><?xml version="1.0" encoding="utf-8"?>
<sst xmlns="http://schemas.openxmlformats.org/spreadsheetml/2006/main" count="72" uniqueCount="41">
  <si>
    <t>Salderen</t>
  </si>
  <si>
    <t>kWh/jaar</t>
  </si>
  <si>
    <t>Verbruik</t>
  </si>
  <si>
    <t>Eigen verbruik</t>
  </si>
  <si>
    <t>Teruglevering</t>
  </si>
  <si>
    <t>/kWh</t>
  </si>
  <si>
    <t>Netto kosten</t>
  </si>
  <si>
    <t>Stop Salderen</t>
  </si>
  <si>
    <t>Batterij Opslag</t>
  </si>
  <si>
    <t xml:space="preserve">Teruglevering </t>
  </si>
  <si>
    <t>Opslag in batterij eigen verbruik</t>
  </si>
  <si>
    <t>Verbruik uit net</t>
  </si>
  <si>
    <t>Kosten</t>
  </si>
  <si>
    <t>Afschrijving</t>
  </si>
  <si>
    <t>jaar</t>
  </si>
  <si>
    <t>Wpiek</t>
  </si>
  <si>
    <t>kWh</t>
  </si>
  <si>
    <t>Eigen verbruik uit batterij</t>
  </si>
  <si>
    <t>Eigen verbruik uit panelen</t>
  </si>
  <si>
    <t>Technisch Rendement (laad/ontlaad)</t>
  </si>
  <si>
    <t>Vollasturen per jaar</t>
  </si>
  <si>
    <t>uur</t>
  </si>
  <si>
    <t>Elktriciteitsprijs</t>
  </si>
  <si>
    <t>input velden</t>
  </si>
  <si>
    <t>=Elektriciteitsprijs (incl. BTW) + energiebelasting, excl. vastrecht</t>
  </si>
  <si>
    <t>Opslag in batterij voor eigen verbruik</t>
  </si>
  <si>
    <t>Batterij optimum capaciteit</t>
  </si>
  <si>
    <t>per jaar</t>
  </si>
  <si>
    <t>+ inkomsten</t>
  </si>
  <si>
    <t>- uitgaven</t>
  </si>
  <si>
    <t>Thuisbatterij business case</t>
  </si>
  <si>
    <t>Opwek zonnepanelen</t>
  </si>
  <si>
    <t>=Standaard (conservatieve)  aanname voor zonnepanlen</t>
  </si>
  <si>
    <t>Piek vermogen panelen</t>
  </si>
  <si>
    <r>
      <rPr>
        <sz val="11"/>
        <color theme="1"/>
        <rFont val="Calibri"/>
        <family val="2"/>
        <scheme val="minor"/>
      </rPr>
      <t xml:space="preserve">totaal </t>
    </r>
    <r>
      <rPr>
        <sz val="11"/>
        <color theme="1"/>
        <rFont val="Symbol"/>
        <family val="1"/>
        <charset val="2"/>
      </rPr>
      <t>S</t>
    </r>
  </si>
  <si>
    <t>#2</t>
  </si>
  <si>
    <t>#1</t>
  </si>
  <si>
    <t>#3</t>
  </si>
  <si>
    <t>Afschrijving periode</t>
  </si>
  <si>
    <t>Teruglevertarief (excl. energiebelasting)</t>
  </si>
  <si>
    <t>= in balans met verbruik gekozen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</si>
</sst>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;_ @_ "/>
    <numFmt numFmtId="165" formatCode="_ [$€-2]\ * #,##0_ ;_ [$€-2]\ * \-#,##0_ ;_ [$€-2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Symbol"/>
      <family val="2"/>
      <charset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quotePrefix="1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0" xfId="0" quotePrefix="1" applyFill="1"/>
    <xf numFmtId="165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0" fillId="2" borderId="0" xfId="0" applyNumberFormat="1" applyFill="1"/>
    <xf numFmtId="0" fontId="0" fillId="0" borderId="5" xfId="0" applyBorder="1"/>
    <xf numFmtId="9" fontId="0" fillId="0" borderId="0" xfId="0" applyNumberFormat="1"/>
    <xf numFmtId="0" fontId="0" fillId="0" borderId="6" xfId="0" applyBorder="1"/>
    <xf numFmtId="0" fontId="0" fillId="0" borderId="7" xfId="0" applyBorder="1"/>
    <xf numFmtId="165" fontId="0" fillId="3" borderId="7" xfId="0" applyNumberFormat="1" applyFill="1" applyBorder="1"/>
    <xf numFmtId="0" fontId="0" fillId="3" borderId="8" xfId="0" applyFill="1" applyBorder="1"/>
    <xf numFmtId="0" fontId="0" fillId="0" borderId="5" xfId="0" quotePrefix="1" applyBorder="1"/>
    <xf numFmtId="165" fontId="0" fillId="2" borderId="0" xfId="0" applyNumberFormat="1" applyFill="1"/>
    <xf numFmtId="1" fontId="0" fillId="0" borderId="5" xfId="0" applyNumberFormat="1" applyBorder="1"/>
    <xf numFmtId="0" fontId="0" fillId="3" borderId="7" xfId="0" applyFill="1" applyBorder="1"/>
    <xf numFmtId="0" fontId="0" fillId="0" borderId="8" xfId="0" applyBorder="1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/>
    <xf numFmtId="9" fontId="0" fillId="0" borderId="5" xfId="1" applyFont="1" applyBorder="1" applyAlignment="1">
      <alignment horizontal="center"/>
    </xf>
    <xf numFmtId="0" fontId="6" fillId="0" borderId="0" xfId="0" applyFont="1"/>
    <xf numFmtId="165" fontId="0" fillId="0" borderId="7" xfId="0" applyNumberFormat="1" applyBorder="1"/>
    <xf numFmtId="1" fontId="0" fillId="0" borderId="0" xfId="0" quotePrefix="1" applyNumberFormat="1"/>
    <xf numFmtId="0" fontId="7" fillId="0" borderId="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/>
  </sheetViews>
  <sheetFormatPr defaultRowHeight="15" x14ac:dyDescent="0.25"/>
  <cols>
    <col min="1" max="1" width="5.28515625" customWidth="1"/>
    <col min="2" max="2" width="21.42578125" customWidth="1"/>
    <col min="3" max="3" width="17.5703125" style="8" bestFit="1" customWidth="1"/>
    <col min="4" max="4" width="10.42578125" bestFit="1" customWidth="1"/>
    <col min="6" max="6" width="4.5703125" customWidth="1"/>
    <col min="7" max="7" width="5.85546875" customWidth="1"/>
    <col min="8" max="8" width="29.42578125" customWidth="1"/>
    <col min="9" max="9" width="14.5703125" style="8" customWidth="1"/>
    <col min="12" max="12" width="7.5703125" customWidth="1"/>
  </cols>
  <sheetData>
    <row r="1" spans="1:12" ht="18.75" x14ac:dyDescent="0.3">
      <c r="A1" s="36" t="s">
        <v>30</v>
      </c>
      <c r="H1" s="9" t="s">
        <v>23</v>
      </c>
    </row>
    <row r="2" spans="1:12" x14ac:dyDescent="0.25">
      <c r="B2" t="s">
        <v>2</v>
      </c>
      <c r="D2" s="5">
        <v>3000</v>
      </c>
      <c r="E2" t="s">
        <v>1</v>
      </c>
      <c r="F2" t="str">
        <f>"="&amp;TEXT(D2/100,"0.0")&amp;" MWh"</f>
        <v>=30 MWh</v>
      </c>
    </row>
    <row r="3" spans="1:12" x14ac:dyDescent="0.25">
      <c r="B3" t="s">
        <v>31</v>
      </c>
      <c r="D3" s="5">
        <v>3000</v>
      </c>
      <c r="E3" t="s">
        <v>1</v>
      </c>
      <c r="F3" s="38" t="s">
        <v>40</v>
      </c>
    </row>
    <row r="4" spans="1:12" x14ac:dyDescent="0.25">
      <c r="B4" t="s">
        <v>20</v>
      </c>
      <c r="D4" s="5">
        <v>900</v>
      </c>
      <c r="E4" t="s">
        <v>21</v>
      </c>
      <c r="F4" s="38" t="s">
        <v>32</v>
      </c>
    </row>
    <row r="5" spans="1:12" x14ac:dyDescent="0.25">
      <c r="B5" t="s">
        <v>33</v>
      </c>
      <c r="C5" s="8" t="str">
        <f>"1000x"&amp;TEXT(D3,"0")&amp;"x"&amp;TEXT(D4,"0")&amp;"="</f>
        <v>1000x3000x900=</v>
      </c>
      <c r="D5" s="6">
        <f>D3/D4*1000</f>
        <v>3333.3333333333335</v>
      </c>
      <c r="E5" t="s">
        <v>15</v>
      </c>
      <c r="F5" s="6"/>
    </row>
    <row r="6" spans="1:12" x14ac:dyDescent="0.25">
      <c r="B6" t="s">
        <v>22</v>
      </c>
      <c r="D6" s="4">
        <v>0.3</v>
      </c>
      <c r="E6" s="1" t="s">
        <v>5</v>
      </c>
      <c r="F6" s="1" t="s">
        <v>24</v>
      </c>
    </row>
    <row r="7" spans="1:12" x14ac:dyDescent="0.25">
      <c r="D7" s="2"/>
      <c r="E7" s="1"/>
    </row>
    <row r="8" spans="1:12" x14ac:dyDescent="0.25">
      <c r="A8" s="14" t="s">
        <v>36</v>
      </c>
      <c r="B8" s="15" t="s">
        <v>0</v>
      </c>
      <c r="C8" s="16"/>
      <c r="D8" s="17"/>
      <c r="E8" s="18"/>
      <c r="G8" s="14" t="s">
        <v>37</v>
      </c>
      <c r="H8" s="15" t="s">
        <v>8</v>
      </c>
      <c r="I8" s="16"/>
      <c r="J8" s="17"/>
      <c r="K8" s="17"/>
      <c r="L8" s="18"/>
    </row>
    <row r="9" spans="1:12" x14ac:dyDescent="0.25">
      <c r="A9" s="19"/>
      <c r="B9" t="s">
        <v>3</v>
      </c>
      <c r="D9" s="20">
        <v>0.3</v>
      </c>
      <c r="E9" s="21"/>
      <c r="G9" s="19"/>
      <c r="H9" t="s">
        <v>26</v>
      </c>
      <c r="I9" s="8" t="str">
        <f>"2x "&amp;TEXT(D2/1000,"0.0")&amp;" MWh="</f>
        <v>2x 03 MWh=</v>
      </c>
      <c r="J9">
        <f>2*D2/1000</f>
        <v>6</v>
      </c>
      <c r="K9" t="s">
        <v>16</v>
      </c>
      <c r="L9" s="21"/>
    </row>
    <row r="10" spans="1:12" x14ac:dyDescent="0.25">
      <c r="A10" s="19"/>
      <c r="B10" t="s">
        <v>4</v>
      </c>
      <c r="C10" s="8" t="str">
        <f>"100% - "&amp;TEXT(D9,"0%")&amp;"="</f>
        <v>100% - 30%=</v>
      </c>
      <c r="D10" s="22">
        <f>1-D9</f>
        <v>0.7</v>
      </c>
      <c r="E10" s="21"/>
      <c r="G10" s="19"/>
      <c r="H10" t="s">
        <v>12</v>
      </c>
      <c r="J10" s="3">
        <f>K10*J9</f>
        <v>1999.9999800000001</v>
      </c>
      <c r="K10" s="28">
        <v>333.33332999999999</v>
      </c>
      <c r="L10" s="27" t="s">
        <v>5</v>
      </c>
    </row>
    <row r="11" spans="1:12" x14ac:dyDescent="0.25">
      <c r="A11" s="19"/>
      <c r="B11" t="s">
        <v>4</v>
      </c>
      <c r="C11" s="8" t="str">
        <f>TEXT(D3,"0")&amp;"x"&amp;TEXT(D10,"0%")&amp;"="</f>
        <v>3000x70%=</v>
      </c>
      <c r="D11">
        <f>D10*D3</f>
        <v>2100</v>
      </c>
      <c r="E11" s="21" t="s">
        <v>1</v>
      </c>
      <c r="G11" s="19"/>
      <c r="H11" t="s">
        <v>38</v>
      </c>
      <c r="J11" s="5">
        <v>15</v>
      </c>
      <c r="K11" t="s">
        <v>14</v>
      </c>
      <c r="L11" s="21"/>
    </row>
    <row r="12" spans="1:12" x14ac:dyDescent="0.25">
      <c r="A12" s="19"/>
      <c r="B12" t="s">
        <v>2</v>
      </c>
      <c r="C12" s="8" t="str">
        <f>"-"&amp;TEXT(D6,"€ 0.00")&amp;"x"&amp;TEXT(D2,"0")&amp;"x"&amp;TEXT(D10,"0%")&amp;"="</f>
        <v>-€ 000x3000x70%=</v>
      </c>
      <c r="D12" s="3">
        <f>-(D10*D2*D6)</f>
        <v>-630</v>
      </c>
      <c r="E12" s="21" t="s">
        <v>27</v>
      </c>
      <c r="G12" s="19"/>
      <c r="H12" t="s">
        <v>19</v>
      </c>
      <c r="J12" s="20">
        <v>0.95</v>
      </c>
      <c r="L12" s="21"/>
    </row>
    <row r="13" spans="1:12" x14ac:dyDescent="0.25">
      <c r="A13" s="19"/>
      <c r="B13" t="s">
        <v>4</v>
      </c>
      <c r="C13" s="8" t="str">
        <f>TEXT(D6,"€ 0.00")&amp;"x"&amp;TEXT(D11,"0")&amp;"="</f>
        <v>€ 000x2100=</v>
      </c>
      <c r="D13" s="37">
        <f>D11*D6</f>
        <v>630</v>
      </c>
      <c r="E13" s="21" t="s">
        <v>27</v>
      </c>
      <c r="G13" s="19"/>
      <c r="H13" t="s">
        <v>25</v>
      </c>
      <c r="J13" s="20">
        <v>0.4</v>
      </c>
      <c r="L13" s="21"/>
    </row>
    <row r="14" spans="1:12" x14ac:dyDescent="0.25">
      <c r="A14" s="23"/>
      <c r="B14" s="24" t="s">
        <v>6</v>
      </c>
      <c r="C14" s="39" t="s">
        <v>34</v>
      </c>
      <c r="D14" s="25">
        <f>D13+D12</f>
        <v>0</v>
      </c>
      <c r="E14" s="26" t="s">
        <v>27</v>
      </c>
      <c r="G14" s="19"/>
      <c r="H14" t="s">
        <v>10</v>
      </c>
      <c r="I14" s="8" t="str">
        <f>TEXT(D3,"0")&amp;"x"&amp;TEXT(J13,"0%")&amp;"/"&amp;TEXT(J12,"0%")&amp;"="</f>
        <v>3000x40%/95%=</v>
      </c>
      <c r="J14" s="6">
        <f>J13*D3/J12</f>
        <v>1263.1578947368421</v>
      </c>
      <c r="K14" t="s">
        <v>1</v>
      </c>
      <c r="L14" s="21"/>
    </row>
    <row r="15" spans="1:12" x14ac:dyDescent="0.25">
      <c r="G15" s="19"/>
      <c r="H15" t="s">
        <v>17</v>
      </c>
      <c r="I15" s="8" t="str">
        <f>TEXT(D3,"0")&amp;"x"&amp;TEXT(J13,"0%")&amp;"="</f>
        <v>3000x40%=</v>
      </c>
      <c r="J15" s="6">
        <f>J14*J12</f>
        <v>1200</v>
      </c>
      <c r="K15" t="s">
        <v>1</v>
      </c>
      <c r="L15" s="35">
        <f>J15/$D$2</f>
        <v>0.4</v>
      </c>
    </row>
    <row r="16" spans="1:12" x14ac:dyDescent="0.25">
      <c r="A16" s="14" t="s">
        <v>35</v>
      </c>
      <c r="B16" s="15" t="s">
        <v>7</v>
      </c>
      <c r="C16" s="16"/>
      <c r="D16" s="17"/>
      <c r="E16" s="18"/>
      <c r="G16" s="19"/>
      <c r="H16" t="s">
        <v>18</v>
      </c>
      <c r="I16" s="8" t="str">
        <f>TEXT(D3,"0")&amp;"x"&amp;TEXT(D9,"0%")&amp;"="</f>
        <v>3000x30%=</v>
      </c>
      <c r="J16" s="6">
        <f>D2*D9</f>
        <v>900</v>
      </c>
      <c r="K16" t="s">
        <v>1</v>
      </c>
      <c r="L16" s="35">
        <f>J16/$D$2</f>
        <v>0.3</v>
      </c>
    </row>
    <row r="17" spans="1:12" x14ac:dyDescent="0.25">
      <c r="A17" s="19"/>
      <c r="B17" t="s">
        <v>39</v>
      </c>
      <c r="D17" s="4">
        <v>0.06</v>
      </c>
      <c r="E17" s="27" t="s">
        <v>5</v>
      </c>
      <c r="G17" s="19"/>
      <c r="H17" t="s">
        <v>11</v>
      </c>
      <c r="I17" s="8" t="str">
        <f>TEXT(D2,"0")&amp;"-"&amp;TEXT(J15,"0")&amp;"-"&amp;TEXT(J16,"0")&amp;"="</f>
        <v>3000-1200-900=</v>
      </c>
      <c r="J17" s="6">
        <f>D2-J15-J16</f>
        <v>900</v>
      </c>
      <c r="K17" t="s">
        <v>1</v>
      </c>
      <c r="L17" s="35">
        <f>J17/$D$2</f>
        <v>0.3</v>
      </c>
    </row>
    <row r="18" spans="1:12" x14ac:dyDescent="0.25">
      <c r="A18" s="19"/>
      <c r="B18" s="32"/>
      <c r="C18" s="33"/>
      <c r="D18" s="34"/>
      <c r="E18" s="21"/>
      <c r="G18" s="19"/>
      <c r="H18" t="s">
        <v>9</v>
      </c>
      <c r="I18" s="8" t="str">
        <f>TEXT(D3,"0")&amp;"-"&amp;TEXT(J14,"0")&amp;"-"&amp;TEXT(J16,"0")&amp;"="</f>
        <v>3000-1263-900=</v>
      </c>
      <c r="J18" s="6">
        <f>D3-J14-J16</f>
        <v>836.84210526315792</v>
      </c>
      <c r="K18" t="s">
        <v>1</v>
      </c>
      <c r="L18" s="29"/>
    </row>
    <row r="19" spans="1:12" x14ac:dyDescent="0.25">
      <c r="A19" s="19"/>
      <c r="B19" s="32"/>
      <c r="C19" s="33"/>
      <c r="D19" s="34"/>
      <c r="E19" s="21"/>
      <c r="G19" s="19"/>
      <c r="J19" s="6"/>
      <c r="L19" s="21"/>
    </row>
    <row r="20" spans="1:12" x14ac:dyDescent="0.25">
      <c r="A20" s="19"/>
      <c r="B20" t="s">
        <v>4</v>
      </c>
      <c r="C20" s="8" t="str">
        <f>TEXT(D3,"0")&amp;"x"&amp;TEXT(D10,"0%")&amp;"="</f>
        <v>3000x70%=</v>
      </c>
      <c r="D20">
        <f>D10*D3</f>
        <v>2100</v>
      </c>
      <c r="E20" s="21" t="s">
        <v>1</v>
      </c>
      <c r="G20" s="19"/>
      <c r="H20" t="s">
        <v>11</v>
      </c>
      <c r="I20" s="8" t="str">
        <f>"-"&amp;TEXT(D6,"€ 0.00")&amp;"x"&amp;TEXT(J17,"0")</f>
        <v>-€ 000x900</v>
      </c>
      <c r="J20" s="3">
        <f>-J17*D6</f>
        <v>-270</v>
      </c>
      <c r="K20" t="s">
        <v>27</v>
      </c>
      <c r="L20" s="21"/>
    </row>
    <row r="21" spans="1:12" x14ac:dyDescent="0.25">
      <c r="A21" s="19"/>
      <c r="B21" t="s">
        <v>2</v>
      </c>
      <c r="C21" s="8" t="str">
        <f>"-"&amp;TEXT(D6,"€ 0.00")&amp;"x"&amp;TEXT(D20,"0")&amp;"="</f>
        <v>-€ 000x2100=</v>
      </c>
      <c r="D21" s="3">
        <f>-D6*D20</f>
        <v>-630</v>
      </c>
      <c r="E21" s="21" t="s">
        <v>27</v>
      </c>
      <c r="G21" s="19"/>
      <c r="H21" t="s">
        <v>13</v>
      </c>
      <c r="I21" s="8" t="str">
        <f>"-"&amp;TEXT(J10,"€ 0")&amp;"/"&amp;TEXT(J11,"0")</f>
        <v>-€ 2000/15</v>
      </c>
      <c r="J21" s="3">
        <f>-J10/J11</f>
        <v>-133.33333200000001</v>
      </c>
      <c r="K21" t="s">
        <v>27</v>
      </c>
      <c r="L21" s="21"/>
    </row>
    <row r="22" spans="1:12" x14ac:dyDescent="0.25">
      <c r="A22" s="19"/>
      <c r="B22" t="s">
        <v>4</v>
      </c>
      <c r="C22" s="8" t="str">
        <f>TEXT(D17,"€ 0.00")&amp;"x"&amp;TEXT(D20,"0")&amp;"="</f>
        <v>€ 000x2100=</v>
      </c>
      <c r="D22" s="37">
        <f>D20*D17</f>
        <v>126</v>
      </c>
      <c r="E22" s="21" t="s">
        <v>27</v>
      </c>
      <c r="G22" s="19"/>
      <c r="H22" t="s">
        <v>4</v>
      </c>
      <c r="I22" s="8" t="str">
        <f>TEXT(D17,"€ 0.00")&amp;"x"&amp;TEXT(J18,"0")</f>
        <v>€ 000x837</v>
      </c>
      <c r="J22" s="37">
        <f>J18*D17</f>
        <v>50.210526315789473</v>
      </c>
      <c r="K22" t="s">
        <v>27</v>
      </c>
      <c r="L22" s="21"/>
    </row>
    <row r="23" spans="1:12" x14ac:dyDescent="0.25">
      <c r="A23" s="23"/>
      <c r="B23" s="24" t="s">
        <v>6</v>
      </c>
      <c r="C23" s="39" t="s">
        <v>34</v>
      </c>
      <c r="D23" s="25">
        <f>D22+D21</f>
        <v>-504</v>
      </c>
      <c r="E23" s="26" t="s">
        <v>27</v>
      </c>
      <c r="G23" s="23"/>
      <c r="H23" s="24" t="s">
        <v>6</v>
      </c>
      <c r="I23" s="39" t="s">
        <v>34</v>
      </c>
      <c r="J23" s="25">
        <f>J22+J21+J20</f>
        <v>-353.12280568421056</v>
      </c>
      <c r="K23" s="30" t="s">
        <v>27</v>
      </c>
      <c r="L23" s="31"/>
    </row>
    <row r="24" spans="1:12" x14ac:dyDescent="0.25">
      <c r="C24" s="7"/>
      <c r="D24" s="3"/>
      <c r="I24" s="7"/>
      <c r="J24" s="3"/>
    </row>
    <row r="25" spans="1:12" x14ac:dyDescent="0.25">
      <c r="B25" s="10" t="s">
        <v>28</v>
      </c>
      <c r="H25" s="12" t="str">
        <f>"besparing t.o.v. #2 (over "&amp;TEXT(J11,"0")&amp;" jaar)"</f>
        <v>besparing t.o.v. #2 (over 15 jaar)</v>
      </c>
      <c r="I25" s="13"/>
      <c r="J25" s="11">
        <f>(-D23+J23)*J11</f>
        <v>2263.1579147368416</v>
      </c>
    </row>
    <row r="26" spans="1:12" x14ac:dyDescent="0.25">
      <c r="B26" s="10" t="s">
        <v>29</v>
      </c>
    </row>
  </sheetData>
  <pageMargins left="0.25" right="0.25" top="0.75" bottom="0.75" header="0.3" footer="0.3"/>
  <pageSetup paperSize="9"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Thusbatterij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JvanDorp</dc:creator>
  <cp:lastModifiedBy>Maarten Endeman</cp:lastModifiedBy>
  <cp:lastPrinted>2024-12-14T15:38:30Z</cp:lastPrinted>
  <dcterms:created xsi:type="dcterms:W3CDTF">2024-09-30T09:38:05Z</dcterms:created>
  <dcterms:modified xsi:type="dcterms:W3CDTF">2025-01-29T19:49:51Z</dcterms:modified>
</cp:coreProperties>
</file>